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3C471B25-EE3A-4768-98D8-F51E875B410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Town'!$A$1:$O$30</definedName>
    <definedName name="_xlnm.Print_Area" localSheetId="3">'Mardi Gras'!$A$1:$O$39</definedName>
    <definedName name="_xlnm.Print_Area" localSheetId="1">Mountaineer!$A$1:$O$24</definedName>
    <definedName name="_xlnm.Print_Area" localSheetId="0">Summary!$A$1:$O$15</definedName>
    <definedName name="_xlnm.Print_Area" localSheetId="2">Wheeling!$A$1:$O$39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N9" i="1"/>
  <c r="M9" i="1"/>
  <c r="I9" i="1"/>
  <c r="D9" i="1"/>
  <c r="C9" i="1"/>
  <c r="L9" i="2"/>
  <c r="O9" i="3" l="1"/>
  <c r="N9" i="3"/>
  <c r="M9" i="3"/>
  <c r="L9" i="3"/>
  <c r="J9" i="3"/>
  <c r="H9" i="3"/>
  <c r="O9" i="4"/>
  <c r="N9" i="4"/>
  <c r="L9" i="4"/>
  <c r="I9" i="4"/>
  <c r="D9" i="4"/>
  <c r="C9" i="4"/>
  <c r="L9" i="1"/>
  <c r="J9" i="1"/>
  <c r="H9" i="1"/>
  <c r="O9" i="2"/>
  <c r="N9" i="2"/>
  <c r="M9" i="2"/>
  <c r="J9" i="2"/>
  <c r="I9" i="2"/>
  <c r="H9" i="2"/>
  <c r="D9" i="2"/>
  <c r="C9" i="2"/>
  <c r="I9" i="3"/>
  <c r="D9" i="3"/>
  <c r="C9" i="3"/>
  <c r="M9" i="4"/>
  <c r="J9" i="4"/>
  <c r="H9" i="4"/>
  <c r="E11" i="1" l="1"/>
  <c r="E11" i="2"/>
  <c r="A10" i="5" l="1"/>
  <c r="A9" i="3"/>
  <c r="A9" i="2"/>
  <c r="A9" i="1"/>
  <c r="K11" i="1"/>
  <c r="B11" i="1"/>
  <c r="O11" i="1"/>
  <c r="N11" i="1"/>
  <c r="M11" i="1"/>
  <c r="L11" i="1"/>
  <c r="J11" i="1"/>
  <c r="I11" i="1"/>
  <c r="H11" i="1"/>
  <c r="G11" i="1"/>
  <c r="F11" i="1"/>
  <c r="D11" i="1"/>
  <c r="C11" i="1"/>
  <c r="K11" i="2"/>
  <c r="B11" i="2"/>
  <c r="O11" i="2"/>
  <c r="N11" i="2"/>
  <c r="M11" i="2"/>
  <c r="L11" i="2"/>
  <c r="J11" i="2"/>
  <c r="I11" i="2"/>
  <c r="H11" i="2"/>
  <c r="G11" i="2"/>
  <c r="F11" i="2"/>
  <c r="D11" i="2"/>
  <c r="C11" i="2"/>
  <c r="K11" i="3"/>
  <c r="B11" i="3"/>
  <c r="O11" i="3"/>
  <c r="N11" i="3"/>
  <c r="M11" i="3"/>
  <c r="L11" i="3"/>
  <c r="J11" i="3"/>
  <c r="I11" i="3"/>
  <c r="H11" i="3"/>
  <c r="G11" i="3"/>
  <c r="F11" i="3"/>
  <c r="E11" i="3"/>
  <c r="D11" i="3"/>
  <c r="C11" i="3"/>
  <c r="K11" i="4" l="1"/>
  <c r="O11" i="4" l="1"/>
  <c r="N11" i="4"/>
  <c r="L11" i="4" l="1"/>
  <c r="E11" i="4"/>
  <c r="C11" i="4"/>
  <c r="B11" i="4" l="1"/>
  <c r="M11" i="4"/>
  <c r="J11" i="4"/>
  <c r="I11" i="4"/>
  <c r="H11" i="4"/>
  <c r="G11" i="4"/>
  <c r="F11" i="4"/>
  <c r="D11" i="4"/>
  <c r="B10" i="5" l="1"/>
  <c r="K10" i="5"/>
  <c r="K12" i="5" s="1"/>
  <c r="O10" i="5" l="1"/>
  <c r="O12" i="5" s="1"/>
  <c r="N10" i="5"/>
  <c r="N12" i="5" s="1"/>
  <c r="L10" i="5"/>
  <c r="L12" i="5" s="1"/>
  <c r="C10" i="5"/>
  <c r="C12" i="5" s="1"/>
  <c r="G10" i="5" l="1"/>
  <c r="G12" i="5" s="1"/>
  <c r="E10" i="5"/>
  <c r="E12" i="5" s="1"/>
  <c r="D10" i="5"/>
  <c r="D12" i="5" s="1"/>
  <c r="J10" i="5"/>
  <c r="J12" i="5" s="1"/>
  <c r="F10" i="5"/>
  <c r="F12" i="5" s="1"/>
  <c r="M10" i="5"/>
  <c r="M12" i="5" s="1"/>
  <c r="H10" i="5"/>
  <c r="H12" i="5" s="1"/>
  <c r="I10" i="5"/>
  <c r="I12" i="5" s="1"/>
  <c r="B12" i="5" l="1"/>
</calcChain>
</file>

<file path=xl/sharedStrings.xml><?xml version="1.0" encoding="utf-8"?>
<sst xmlns="http://schemas.openxmlformats.org/spreadsheetml/2006/main" count="97" uniqueCount="32">
  <si>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</si>
  <si>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</si>
  <si>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</si>
  <si>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</si>
  <si>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</si>
  <si>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</si>
  <si>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</si>
  <si>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</si>
  <si>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</si>
  <si>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</si>
  <si>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</si>
  <si>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</si>
  <si>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</si>
  <si>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</si>
  <si>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</si>
  <si>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</si>
  <si>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</si>
  <si>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</si>
  <si>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</si>
  <si>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</si>
  <si>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</si>
  <si>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</si>
  <si>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</si>
  <si>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</si>
  <si>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Non-Racetrack Counties ( 51) *</t>
  </si>
  <si>
    <t>Non-Racetrack Municipalities (202/200) *</t>
  </si>
  <si>
    <t>FOR THE MONTH ENDING JULY 31, 2025</t>
  </si>
  <si>
    <t>July 2025</t>
  </si>
  <si>
    <t>FISCAL YEAR 2026</t>
  </si>
  <si>
    <t>FY 2025</t>
  </si>
  <si>
    <t>Greyhound Purse Fund</t>
  </si>
  <si>
    <t>Greyhound Development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</si>
</sst>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4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44" fontId="11" fillId="0" borderId="0" xfId="1" applyFont="1"/>
    <xf numFmtId="44" fontId="11" fillId="0" borderId="2" xfId="0" applyNumberFormat="1" applyFont="1" applyBorder="1"/>
    <xf numFmtId="0" fontId="13" fillId="0" borderId="0" xfId="0" applyFont="1"/>
    <xf numFmtId="0" fontId="8" fillId="0" borderId="0" xfId="0" applyFont="1"/>
    <xf numFmtId="0" fontId="7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0" xfId="0" quotePrefix="1" applyFont="1"/>
    <xf numFmtId="0" fontId="2" fillId="0" borderId="0" xfId="0" quotePrefix="1" applyFont="1"/>
    <xf numFmtId="0" fontId="2" fillId="0" borderId="0" xfId="0" applyFont="1"/>
    <xf numFmtId="44" fontId="2" fillId="0" borderId="0" xfId="1" applyFont="1"/>
    <xf numFmtId="0" fontId="1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tabSelected="1" workbookViewId="0">
      <selection activeCell="A11" sqref="A11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19" t="s">
        <v>22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ht="15" customHeight="1" x14ac:dyDescent="0.25">
      <c r="A2" s="20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15" customHeight="1" x14ac:dyDescent="0.25">
      <c r="A3" s="20" t="s">
        <v>26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 x14ac:dyDescent="0.25">
      <c r="A4" s="20" t="s">
        <v>28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12" t="s">
        <v>24</v>
      </c>
      <c r="O8" s="13" t="s">
        <v>25</v>
      </c>
    </row>
    <row r="9" spans="1:15" x14ac:dyDescent="0.25">
      <c r="B9" s="5"/>
      <c r="C9" s="2"/>
      <c r="D9" s="2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4" t="str">
        <f>Mountaineer!A9</f>
        <v>July 2025</v>
      </c>
      <c r="B10" s="6">
        <f>SUM('Mountaineer:Charles Town'!B9)</f>
        <v>8584073.9199999999</v>
      </c>
      <c r="C10" s="6">
        <f>SUM('Mountaineer:Charles Town'!C9)</f>
        <v>3004425.9000000004</v>
      </c>
      <c r="D10" s="6">
        <f>SUM('Mountaineer:Charles Town'!D9)</f>
        <v>257522.22</v>
      </c>
      <c r="E10" s="6">
        <f>SUM('Mountaineer:Charles Town'!E9)</f>
        <v>12181.42</v>
      </c>
      <c r="F10" s="6">
        <f>SUM('Mountaineer:Charles Town'!F9)</f>
        <v>207834.39</v>
      </c>
      <c r="G10" s="6">
        <f>SUM('Mountaineer:Charles Town'!G9)</f>
        <v>166267.51999999999</v>
      </c>
      <c r="H10" s="6">
        <f>SUM('Mountaineer:Charles Town'!H9)</f>
        <v>171681.49</v>
      </c>
      <c r="I10" s="6">
        <f>SUM('Mountaineer:Charles Town'!I9)</f>
        <v>257522.22</v>
      </c>
      <c r="J10" s="6">
        <f>SUM('Mountaineer:Charles Town'!J9)</f>
        <v>42920.380000000005</v>
      </c>
      <c r="K10" s="6">
        <f>SUM('Mountaineer:Charles Town'!K9)</f>
        <v>16603.38</v>
      </c>
      <c r="L10" s="6">
        <f>SUM('Mountaineer:Charles Town'!L9)</f>
        <v>1447875.73</v>
      </c>
      <c r="M10" s="6">
        <f>SUM('Mountaineer:Charles Town'!M9)</f>
        <v>76203.97</v>
      </c>
      <c r="N10" s="6">
        <f>SUM('Mountaineer:Charles Town'!N9)</f>
        <v>190509.99</v>
      </c>
      <c r="O10" s="6">
        <f>SUM('Mountaineer:Charles Town'!O9)</f>
        <v>190510</v>
      </c>
    </row>
    <row r="11" spans="1:15" ht="13.5" customHeight="1" x14ac:dyDescent="0.25"/>
    <row r="12" spans="1:15" ht="15" customHeight="1" thickBot="1" x14ac:dyDescent="0.3">
      <c r="B12" s="7">
        <f t="shared" ref="B12:O12" si="0">SUM(B10:B11)</f>
        <v>8584073.9199999999</v>
      </c>
      <c r="C12" s="7">
        <f t="shared" si="0"/>
        <v>3004425.9000000004</v>
      </c>
      <c r="D12" s="7">
        <f t="shared" si="0"/>
        <v>257522.22</v>
      </c>
      <c r="E12" s="7">
        <f t="shared" si="0"/>
        <v>12181.42</v>
      </c>
      <c r="F12" s="7">
        <f t="shared" si="0"/>
        <v>207834.39</v>
      </c>
      <c r="G12" s="7">
        <f t="shared" si="0"/>
        <v>166267.51999999999</v>
      </c>
      <c r="H12" s="7">
        <f t="shared" si="0"/>
        <v>171681.49</v>
      </c>
      <c r="I12" s="7">
        <f t="shared" si="0"/>
        <v>257522.22</v>
      </c>
      <c r="J12" s="7">
        <f t="shared" si="0"/>
        <v>42920.380000000005</v>
      </c>
      <c r="K12" s="7">
        <f t="shared" si="0"/>
        <v>16603.38</v>
      </c>
      <c r="L12" s="7">
        <f t="shared" si="0"/>
        <v>1447875.73</v>
      </c>
      <c r="M12" s="7">
        <f t="shared" si="0"/>
        <v>76203.97</v>
      </c>
      <c r="N12" s="7">
        <f t="shared" si="0"/>
        <v>190509.99</v>
      </c>
      <c r="O12" s="7">
        <f t="shared" si="0"/>
        <v>190510</v>
      </c>
    </row>
    <row r="13" spans="1:15" ht="15" customHeight="1" thickTop="1" x14ac:dyDescent="0.25"/>
    <row r="14" spans="1:15" ht="15" customHeight="1" x14ac:dyDescent="0.25">
      <c r="A14" s="8" t="s">
        <v>14</v>
      </c>
    </row>
    <row r="15" spans="1:15" ht="15" customHeight="1" x14ac:dyDescent="0.25">
      <c r="A15" s="8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4"/>
  <sheetViews>
    <sheetView workbookViewId="0">
      <selection activeCell="A10" sqref="A10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5.140625" style="1" bestFit="1" customWidth="1"/>
    <col min="16" max="16384" width="9.140625" style="1"/>
  </cols>
  <sheetData>
    <row r="1" spans="1:15" ht="15" customHeight="1" x14ac:dyDescent="0.25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10"/>
    </row>
    <row r="3" spans="1:15" ht="15" customHeight="1" x14ac:dyDescent="0.25">
      <c r="A3" s="9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29</v>
      </c>
      <c r="B5" s="6">
        <v>9891967.25</v>
      </c>
      <c r="C5" s="6">
        <v>3462188.6</v>
      </c>
      <c r="D5" s="6">
        <v>296759.02</v>
      </c>
      <c r="E5" s="6">
        <v>44513.840000000011</v>
      </c>
      <c r="F5" s="6">
        <v>222569.26</v>
      </c>
      <c r="G5" s="6">
        <v>178055.41999999998</v>
      </c>
      <c r="H5" s="6">
        <v>197839.34999999998</v>
      </c>
      <c r="I5" s="6">
        <v>296759.02</v>
      </c>
      <c r="J5" s="6">
        <v>49459.820000000007</v>
      </c>
      <c r="K5" s="6">
        <v>60385.37000000001</v>
      </c>
      <c r="L5" s="6">
        <v>1699829.8500000003</v>
      </c>
      <c r="M5" s="6">
        <v>89464.73</v>
      </c>
      <c r="N5" s="6">
        <v>223661.94</v>
      </c>
      <c r="O5" s="6">
        <v>223661.79</v>
      </c>
    </row>
    <row r="7" spans="1:15" ht="15" customHeight="1" x14ac:dyDescent="0.25">
      <c r="A7" s="22" t="s">
        <v>28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9" spans="1:15" ht="14.25" customHeight="1" x14ac:dyDescent="0.25">
      <c r="A9" s="15" t="s">
        <v>27</v>
      </c>
      <c r="B9" s="17">
        <v>1001379.5</v>
      </c>
      <c r="C9" s="17">
        <f>ROUND($B9*0.35,2)+0.01</f>
        <v>350482.84</v>
      </c>
      <c r="D9" s="17">
        <f>ROUND($B9*0.03,2)-0.01</f>
        <v>30041.38</v>
      </c>
      <c r="E9" s="17">
        <v>942.7</v>
      </c>
      <c r="F9" s="17">
        <v>24510.77</v>
      </c>
      <c r="G9" s="17">
        <v>19608.61</v>
      </c>
      <c r="H9" s="17">
        <f t="shared" ref="H9" si="0">ROUND($B9*0.02,2)</f>
        <v>20027.59</v>
      </c>
      <c r="I9" s="17">
        <f>ROUND($B9*0.03,2)-0.01</f>
        <v>30041.38</v>
      </c>
      <c r="J9" s="17">
        <f t="shared" ref="J9" si="1">ROUND($B9*0.005,2)</f>
        <v>5006.8999999999996</v>
      </c>
      <c r="K9" s="17">
        <v>4150.84</v>
      </c>
      <c r="L9" s="17">
        <f>ROUND((($B9*0.22)+$K9)*0.76,2)+0.01</f>
        <v>170585.30000000002</v>
      </c>
      <c r="M9" s="17">
        <f t="shared" ref="M9" si="2">ROUND((($B9*0.22)+$K9)*0.04,2)</f>
        <v>8978.17</v>
      </c>
      <c r="N9" s="17">
        <f>ROUND((($B9*0.22)+$K9)*0.1,2)+0.02</f>
        <v>22445.45</v>
      </c>
      <c r="O9" s="17">
        <f>ROUND((($B9*0.22)+$K9)*0.1,2)+0.01</f>
        <v>22445.439999999999</v>
      </c>
    </row>
    <row r="11" spans="1:15" ht="15" customHeight="1" thickBot="1" x14ac:dyDescent="0.3">
      <c r="B11" s="7">
        <f t="shared" ref="B11:O11" si="3">SUM(B9:B10)</f>
        <v>1001379.5</v>
      </c>
      <c r="C11" s="7">
        <f t="shared" si="3"/>
        <v>350482.84</v>
      </c>
      <c r="D11" s="7">
        <f t="shared" si="3"/>
        <v>30041.38</v>
      </c>
      <c r="E11" s="7">
        <f t="shared" si="3"/>
        <v>942.7</v>
      </c>
      <c r="F11" s="7">
        <f t="shared" si="3"/>
        <v>24510.77</v>
      </c>
      <c r="G11" s="7">
        <f t="shared" si="3"/>
        <v>19608.61</v>
      </c>
      <c r="H11" s="7">
        <f t="shared" si="3"/>
        <v>20027.59</v>
      </c>
      <c r="I11" s="7">
        <f t="shared" si="3"/>
        <v>30041.38</v>
      </c>
      <c r="J11" s="7">
        <f t="shared" si="3"/>
        <v>5006.8999999999996</v>
      </c>
      <c r="K11" s="7">
        <f t="shared" si="3"/>
        <v>4150.84</v>
      </c>
      <c r="L11" s="7">
        <f t="shared" si="3"/>
        <v>170585.30000000002</v>
      </c>
      <c r="M11" s="7">
        <f t="shared" si="3"/>
        <v>8978.17</v>
      </c>
      <c r="N11" s="7">
        <f t="shared" si="3"/>
        <v>22445.45</v>
      </c>
      <c r="O11" s="7">
        <f t="shared" si="3"/>
        <v>22445.439999999999</v>
      </c>
    </row>
    <row r="12" spans="1:15" ht="15" customHeight="1" thickTop="1" x14ac:dyDescent="0.25"/>
    <row r="13" spans="1:15" ht="15" customHeight="1" x14ac:dyDescent="0.25">
      <c r="A13" s="8" t="s">
        <v>14</v>
      </c>
    </row>
    <row r="14" spans="1:15" ht="15" customHeight="1" x14ac:dyDescent="0.25">
      <c r="A14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4"/>
  <sheetViews>
    <sheetView workbookViewId="0">
      <selection activeCell="A10" sqref="A10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21" t="s">
        <v>17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10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8" t="s">
        <v>30</v>
      </c>
      <c r="G4" s="18" t="s">
        <v>31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29</v>
      </c>
      <c r="B5" s="6">
        <v>6659313.8599999994</v>
      </c>
      <c r="C5" s="6">
        <v>2330759.8500000006</v>
      </c>
      <c r="D5" s="6">
        <v>199779.42</v>
      </c>
      <c r="E5" s="6">
        <v>29966.920000000002</v>
      </c>
      <c r="F5" s="6">
        <v>149834.53999999998</v>
      </c>
      <c r="G5" s="6">
        <v>119867.64</v>
      </c>
      <c r="H5" s="6">
        <v>133186.28</v>
      </c>
      <c r="I5" s="6">
        <v>199779.42</v>
      </c>
      <c r="J5" s="6">
        <v>33296.550000000003</v>
      </c>
      <c r="K5" s="6">
        <v>60385.36</v>
      </c>
      <c r="L5" s="6">
        <v>1159330.1400000004</v>
      </c>
      <c r="M5" s="6">
        <v>61017.380000000005</v>
      </c>
      <c r="N5" s="6">
        <v>152543.57</v>
      </c>
      <c r="O5" s="6">
        <v>152543.41000000003</v>
      </c>
    </row>
    <row r="7" spans="1:15" ht="15" customHeight="1" x14ac:dyDescent="0.25">
      <c r="A7" s="22" t="s">
        <v>28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9" spans="1:15" ht="14.25" customHeight="1" x14ac:dyDescent="0.25">
      <c r="A9" s="14" t="str">
        <f>Mountaineer!A9</f>
        <v>July 2025</v>
      </c>
      <c r="B9" s="17">
        <v>682520.66</v>
      </c>
      <c r="C9" s="17">
        <f>ROUND($B9*0.35,2)</f>
        <v>238882.23</v>
      </c>
      <c r="D9" s="17">
        <f>ROUND($B9*0.03,2)</f>
        <v>20475.62</v>
      </c>
      <c r="E9" s="17">
        <v>744.23</v>
      </c>
      <c r="F9" s="17">
        <v>16649.55</v>
      </c>
      <c r="G9" s="17">
        <v>13319.65</v>
      </c>
      <c r="H9" s="17">
        <f>ROUND($B9*0.02,2)+0.01</f>
        <v>13650.42</v>
      </c>
      <c r="I9" s="17">
        <f>ROUND($B9*0.03,2)</f>
        <v>20475.62</v>
      </c>
      <c r="J9" s="17">
        <f>ROUND($B9*0.005,2)+0.01</f>
        <v>3412.61</v>
      </c>
      <c r="K9" s="17">
        <v>4150.84</v>
      </c>
      <c r="L9" s="17">
        <f>ROUND((($B9*0.22)+$K9)*0.76,2)-0.01</f>
        <v>117272.08</v>
      </c>
      <c r="M9" s="17">
        <f>ROUND((($B9*0.22)+$K9)*0.04,2)-0.01</f>
        <v>6172.21</v>
      </c>
      <c r="N9" s="17">
        <f>ROUND((($B9*0.22)+$K9)*0.1,2)+0.01</f>
        <v>15430.550000000001</v>
      </c>
      <c r="O9" s="17">
        <f>ROUND((($B9*0.22)+$K9)*0.1,2)+0.01</f>
        <v>15430.550000000001</v>
      </c>
    </row>
    <row r="11" spans="1:15" ht="15" customHeight="1" thickBot="1" x14ac:dyDescent="0.3">
      <c r="B11" s="7">
        <f t="shared" ref="B11:O11" si="0">SUM(B9:B10)</f>
        <v>682520.66</v>
      </c>
      <c r="C11" s="7">
        <f t="shared" si="0"/>
        <v>238882.23</v>
      </c>
      <c r="D11" s="7">
        <f t="shared" si="0"/>
        <v>20475.62</v>
      </c>
      <c r="E11" s="7">
        <f t="shared" si="0"/>
        <v>744.23</v>
      </c>
      <c r="F11" s="7">
        <f t="shared" si="0"/>
        <v>16649.55</v>
      </c>
      <c r="G11" s="7">
        <f t="shared" si="0"/>
        <v>13319.65</v>
      </c>
      <c r="H11" s="7">
        <f t="shared" si="0"/>
        <v>13650.42</v>
      </c>
      <c r="I11" s="7">
        <f t="shared" si="0"/>
        <v>20475.62</v>
      </c>
      <c r="J11" s="7">
        <f t="shared" si="0"/>
        <v>3412.61</v>
      </c>
      <c r="K11" s="7">
        <f t="shared" si="0"/>
        <v>4150.84</v>
      </c>
      <c r="L11" s="7">
        <f t="shared" si="0"/>
        <v>117272.08</v>
      </c>
      <c r="M11" s="7">
        <f t="shared" si="0"/>
        <v>6172.21</v>
      </c>
      <c r="N11" s="7">
        <f t="shared" si="0"/>
        <v>15430.550000000001</v>
      </c>
      <c r="O11" s="7">
        <f t="shared" si="0"/>
        <v>15430.550000000001</v>
      </c>
    </row>
    <row r="12" spans="1:15" ht="15" customHeight="1" thickTop="1" x14ac:dyDescent="0.25"/>
    <row r="13" spans="1:15" ht="15" customHeight="1" x14ac:dyDescent="0.25">
      <c r="A13" s="8" t="s">
        <v>14</v>
      </c>
    </row>
    <row r="14" spans="1:15" ht="15" customHeight="1" x14ac:dyDescent="0.25">
      <c r="A14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4"/>
  <sheetViews>
    <sheetView workbookViewId="0">
      <selection activeCell="A10" sqref="A10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21" t="s">
        <v>16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8" t="s">
        <v>30</v>
      </c>
      <c r="G4" s="18" t="s">
        <v>31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29</v>
      </c>
      <c r="B5" s="6">
        <v>15840983.480000004</v>
      </c>
      <c r="C5" s="6">
        <v>5544344.2799999993</v>
      </c>
      <c r="D5" s="6">
        <v>475229.52</v>
      </c>
      <c r="E5" s="6">
        <v>71284.42</v>
      </c>
      <c r="F5" s="6">
        <v>356422.14</v>
      </c>
      <c r="G5" s="6">
        <v>285137.72000000003</v>
      </c>
      <c r="H5" s="6">
        <v>316819.69999999995</v>
      </c>
      <c r="I5" s="6">
        <v>475229.52</v>
      </c>
      <c r="J5" s="6">
        <v>79204.929999999993</v>
      </c>
      <c r="K5" s="6">
        <v>60385.37000000001</v>
      </c>
      <c r="L5" s="6">
        <v>2694505.27</v>
      </c>
      <c r="M5" s="6">
        <v>141816.09000000003</v>
      </c>
      <c r="N5" s="6">
        <v>354540.29000000004</v>
      </c>
      <c r="O5" s="6">
        <v>354540.11000000004</v>
      </c>
    </row>
    <row r="7" spans="1:15" ht="15" customHeight="1" x14ac:dyDescent="0.25">
      <c r="A7" s="22" t="s">
        <v>28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9" spans="1:15" ht="14.25" customHeight="1" x14ac:dyDescent="0.25">
      <c r="A9" s="14" t="str">
        <f>Mountaineer!A9</f>
        <v>July 2025</v>
      </c>
      <c r="B9" s="17">
        <v>1012180.01</v>
      </c>
      <c r="C9" s="17">
        <f>ROUND($B9*0.35,2)</f>
        <v>354263</v>
      </c>
      <c r="D9" s="17">
        <f>ROUND($B9*0.03,2)</f>
        <v>30365.4</v>
      </c>
      <c r="E9" s="17">
        <v>1228.0899999999999</v>
      </c>
      <c r="F9" s="17">
        <v>24622.23</v>
      </c>
      <c r="G9" s="17">
        <v>19697.78</v>
      </c>
      <c r="H9" s="17">
        <f t="shared" ref="H9" si="0">ROUND($B9*0.02,2)</f>
        <v>20243.599999999999</v>
      </c>
      <c r="I9" s="17">
        <f>ROUND($B9*0.03,2)</f>
        <v>30365.4</v>
      </c>
      <c r="J9" s="17">
        <f t="shared" ref="J9" si="1">ROUND($B9*0.005,2)</f>
        <v>5060.8999999999996</v>
      </c>
      <c r="K9" s="17">
        <v>4150.8500000000004</v>
      </c>
      <c r="L9" s="17">
        <f>ROUND((($B9*0.22)+$K9)*0.76,2)+0.01</f>
        <v>172391.15000000002</v>
      </c>
      <c r="M9" s="17">
        <f t="shared" ref="M9" si="2">ROUND((($B9*0.22)+$K9)*0.04,2)</f>
        <v>9073.2199999999993</v>
      </c>
      <c r="N9" s="17">
        <f>ROUND((($B9*0.22)+$K9)*0.1,2)</f>
        <v>22683.05</v>
      </c>
      <c r="O9" s="17">
        <f>ROUND((($B9*0.22)+$K9)*0.1,2)</f>
        <v>22683.05</v>
      </c>
    </row>
    <row r="11" spans="1:15" ht="15" customHeight="1" thickBot="1" x14ac:dyDescent="0.3">
      <c r="B11" s="7">
        <f t="shared" ref="B11:O11" si="3">SUM(B9:B10)</f>
        <v>1012180.01</v>
      </c>
      <c r="C11" s="7">
        <f t="shared" si="3"/>
        <v>354263</v>
      </c>
      <c r="D11" s="7">
        <f t="shared" si="3"/>
        <v>30365.4</v>
      </c>
      <c r="E11" s="7">
        <f t="shared" si="3"/>
        <v>1228.0899999999999</v>
      </c>
      <c r="F11" s="7">
        <f t="shared" si="3"/>
        <v>24622.23</v>
      </c>
      <c r="G11" s="7">
        <f t="shared" si="3"/>
        <v>19697.78</v>
      </c>
      <c r="H11" s="7">
        <f t="shared" si="3"/>
        <v>20243.599999999999</v>
      </c>
      <c r="I11" s="7">
        <f t="shared" si="3"/>
        <v>30365.4</v>
      </c>
      <c r="J11" s="7">
        <f t="shared" si="3"/>
        <v>5060.8999999999996</v>
      </c>
      <c r="K11" s="7">
        <f t="shared" si="3"/>
        <v>4150.8500000000004</v>
      </c>
      <c r="L11" s="7">
        <f t="shared" si="3"/>
        <v>172391.15000000002</v>
      </c>
      <c r="M11" s="7">
        <f t="shared" si="3"/>
        <v>9073.2199999999993</v>
      </c>
      <c r="N11" s="7">
        <f t="shared" si="3"/>
        <v>22683.05</v>
      </c>
      <c r="O11" s="7">
        <f t="shared" si="3"/>
        <v>22683.05</v>
      </c>
    </row>
    <row r="12" spans="1:15" ht="15" customHeight="1" thickTop="1" x14ac:dyDescent="0.25"/>
    <row r="13" spans="1:15" ht="15" customHeight="1" x14ac:dyDescent="0.25">
      <c r="A13" s="8" t="s">
        <v>14</v>
      </c>
    </row>
    <row r="14" spans="1:15" ht="15" customHeight="1" x14ac:dyDescent="0.25">
      <c r="A14" s="8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4"/>
  <sheetViews>
    <sheetView workbookViewId="0">
      <selection activeCell="A10" sqref="A10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29</v>
      </c>
      <c r="B5" s="6">
        <v>60067373.059999995</v>
      </c>
      <c r="C5" s="6">
        <v>21023580.609999999</v>
      </c>
      <c r="D5" s="6">
        <v>1802021.2799999998</v>
      </c>
      <c r="E5" s="6">
        <v>270303.17</v>
      </c>
      <c r="F5" s="6">
        <v>1351515.88</v>
      </c>
      <c r="G5" s="6">
        <v>1081212.77</v>
      </c>
      <c r="H5" s="6">
        <v>1201347.52</v>
      </c>
      <c r="I5" s="6">
        <v>1802021.2799999998</v>
      </c>
      <c r="J5" s="6">
        <v>300336.88</v>
      </c>
      <c r="K5" s="6">
        <v>60385.37</v>
      </c>
      <c r="L5" s="6">
        <v>10089157.439999999</v>
      </c>
      <c r="M5" s="6">
        <v>531008.28</v>
      </c>
      <c r="N5" s="6">
        <v>1327520.8699999996</v>
      </c>
      <c r="O5" s="6">
        <v>1327520.69</v>
      </c>
    </row>
    <row r="7" spans="1:15" ht="15" customHeight="1" x14ac:dyDescent="0.25">
      <c r="A7" s="22" t="s">
        <v>28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9" spans="1:15" ht="14.25" customHeight="1" x14ac:dyDescent="0.25">
      <c r="A9" s="14" t="str">
        <f>Mountaineer!A9</f>
        <v>July 2025</v>
      </c>
      <c r="B9" s="17">
        <v>5887993.75</v>
      </c>
      <c r="C9" s="17">
        <f>ROUND($B9*0.35,2)+0.02</f>
        <v>2060797.83</v>
      </c>
      <c r="D9" s="17">
        <f>ROUND($B9*0.03,2)+0.01</f>
        <v>176639.82</v>
      </c>
      <c r="E9" s="17">
        <v>9266.4</v>
      </c>
      <c r="F9" s="17">
        <v>142051.84</v>
      </c>
      <c r="G9" s="17">
        <v>113641.48</v>
      </c>
      <c r="H9" s="17">
        <f t="shared" ref="H9" si="0">ROUND($B9*0.02,2)</f>
        <v>117759.88</v>
      </c>
      <c r="I9" s="17">
        <f>ROUND($B9*0.03,2)+0.01</f>
        <v>176639.82</v>
      </c>
      <c r="J9" s="17">
        <f t="shared" ref="J9" si="1">ROUND($B9*0.005,2)</f>
        <v>29439.97</v>
      </c>
      <c r="K9" s="17">
        <v>4150.8500000000004</v>
      </c>
      <c r="L9" s="17">
        <f>ROUND((($B9*0.22)+$K9)*0.76,2)</f>
        <v>987627.2</v>
      </c>
      <c r="M9" s="17">
        <f>ROUND((($B9*0.22)+$K9)*0.04,2)-0.01</f>
        <v>51980.369999999995</v>
      </c>
      <c r="N9" s="17">
        <f>ROUND((($B9*0.22)+$K9)*0.1,2)-0.01</f>
        <v>129950.94</v>
      </c>
      <c r="O9" s="17">
        <f>ROUND((($B9*0.22)+$K9)*0.1,2)+0.01</f>
        <v>129950.95999999999</v>
      </c>
    </row>
    <row r="11" spans="1:15" ht="15" customHeight="1" thickBot="1" x14ac:dyDescent="0.3">
      <c r="B11" s="7">
        <f t="shared" ref="B11:O11" si="2">SUM(B9:B10)</f>
        <v>5887993.75</v>
      </c>
      <c r="C11" s="7">
        <f t="shared" si="2"/>
        <v>2060797.83</v>
      </c>
      <c r="D11" s="7">
        <f t="shared" si="2"/>
        <v>176639.82</v>
      </c>
      <c r="E11" s="7">
        <f t="shared" si="2"/>
        <v>9266.4</v>
      </c>
      <c r="F11" s="7">
        <f t="shared" si="2"/>
        <v>142051.84</v>
      </c>
      <c r="G11" s="7">
        <f t="shared" si="2"/>
        <v>113641.48</v>
      </c>
      <c r="H11" s="7">
        <f t="shared" si="2"/>
        <v>117759.88</v>
      </c>
      <c r="I11" s="7">
        <f t="shared" si="2"/>
        <v>176639.82</v>
      </c>
      <c r="J11" s="7">
        <f t="shared" si="2"/>
        <v>29439.97</v>
      </c>
      <c r="K11" s="7">
        <f t="shared" si="2"/>
        <v>4150.8500000000004</v>
      </c>
      <c r="L11" s="7">
        <f t="shared" si="2"/>
        <v>987627.2</v>
      </c>
      <c r="M11" s="7">
        <f t="shared" si="2"/>
        <v>51980.369999999995</v>
      </c>
      <c r="N11" s="7">
        <f t="shared" si="2"/>
        <v>129950.94</v>
      </c>
      <c r="O11" s="7">
        <f t="shared" si="2"/>
        <v>129950.95999999999</v>
      </c>
    </row>
    <row r="12" spans="1:15" ht="15" customHeight="1" thickTop="1" x14ac:dyDescent="0.25"/>
    <row r="13" spans="1:15" ht="14.25" customHeight="1" x14ac:dyDescent="0.25">
      <c r="A13" s="8" t="s">
        <v>14</v>
      </c>
    </row>
    <row r="14" spans="1:15" ht="15" customHeight="1" x14ac:dyDescent="0.25">
      <c r="A14" s="8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2022-05-24T13:43:06Z</cp:lastPrinted>
  <dcterms:created xsi:type="dcterms:W3CDTF">2017-06-26T17:33:37Z</dcterms:created>
  <dcterms:modified xsi:type="dcterms:W3CDTF">2025-08-08T15:51:03Z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2024-08-29T18:02:05Z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61d58641-215a-4603-94a3-75b61e62e7f0</vt:lpwstr>
  </property>
  <property fmtid="{D5CDD505-2E9C-101B-9397-08002B2CF9AE}" pid="8" name="MSIP_Label_defa4170-0d19-0005-0004-bc88714345d2_ContentBits">
    <vt:lpwstr>0</vt:lpwstr>
  </property>
</Properties>
</file>